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ydrunas.n\Desktop\"/>
    </mc:Choice>
  </mc:AlternateContent>
  <xr:revisionPtr revIDLastSave="0" documentId="13_ncr:1_{C16FABDF-0974-41EF-8DB0-0AFF588FDA7A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81029"/>
</workbook>
</file>

<file path=xl/calcChain.xml><?xml version="1.0" encoding="utf-8"?>
<calcChain xmlns="http://schemas.openxmlformats.org/spreadsheetml/2006/main"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R52" i="21" l="1"/>
  <c r="R54" i="21" s="1"/>
  <c r="Q52" i="21"/>
  <c r="Q54" i="21" s="1"/>
  <c r="P52" i="21"/>
  <c r="P54" i="21" s="1"/>
  <c r="O52" i="21"/>
  <c r="O54" i="21" s="1"/>
  <c r="N52" i="21"/>
  <c r="N54" i="21" s="1"/>
  <c r="M52" i="21"/>
  <c r="M54" i="21" s="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P66" i="21" s="1"/>
  <c r="Q64" i="21"/>
  <c r="Q66" i="21" s="1"/>
  <c r="R64" i="21"/>
  <c r="R66" i="21" s="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C30" i="18"/>
  <c r="C33" i="18" s="1"/>
  <c r="E20" i="18"/>
  <c r="C38" i="18" l="1"/>
  <c r="C40" i="18" s="1"/>
  <c r="E38" i="18"/>
  <c r="E40" i="18" s="1"/>
  <c r="D7" i="20"/>
  <c r="D5" i="20"/>
  <c r="D6" i="20"/>
  <c r="E84" i="18"/>
  <c r="C60" i="18"/>
  <c r="C86" i="18" s="1"/>
  <c r="E60" i="18"/>
  <c r="R1" i="2"/>
  <c r="C9" i="2" s="1"/>
  <c r="E86" i="18" l="1"/>
  <c r="C80" i="2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C56" i="17"/>
  <c r="C59" i="17" s="1"/>
  <c r="C65" i="17" l="1"/>
  <c r="C67" i="17" s="1"/>
  <c r="E65" i="17"/>
  <c r="E67" i="17" s="1"/>
  <c r="E88" i="17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<sst xmlns="http://schemas.openxmlformats.org/spreadsheetml/2006/main" count="1534" uniqueCount="555">
  <si>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</si>
  <si>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</si>
  <si>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</si>
  <si>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</si>
  <si>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</si>
  <si>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</si>
  <si>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</si>
  <si>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</si>
  <si>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</si>
  <si>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</si>
  <si>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</si>
  <si>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</si>
  <si>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</si>
  <si>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</si>
  <si>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</si>
  <si>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</si>
  <si>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</si>
  <si>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</si>
  <si>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</si>
  <si>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</si>
  <si>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</si>
  <si>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</si>
  <si>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</si>
  <si>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</si>
  <si>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</si>
  <si>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</si>
  <si>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</si>
  <si>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</si>
  <si>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</si>
  <si>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</si>
  <si>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</si>
  <si>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</si>
  <si>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</si>
  <si>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</si>
  <si>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</si>
  <si>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</si>
  <si>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</si>
  <si>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</si>
  <si>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</si>
  <si>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</si>
  <si>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</si>
  <si>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</si>
  <si>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</si>
  <si>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</si>
  <si>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</si>
  <si>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</si>
  <si>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</si>
  <si>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</si>
  <si>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</si>
  <si>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</si>
  <si>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</si>
  <si>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</si>
  <si>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</si>
  <si>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</si>
  <si>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</si>
  <si>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</si>
  <si>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</si>
  <si>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</si>
  <si>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</si>
  <si>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</si>
  <si>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</si>
  <si>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</si>
  <si>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</si>
  <si>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</si>
  <si>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</si>
  <si>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</si>
  <si>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</si>
  <si>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</si>
  <si>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</si>
  <si>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</si>
  <si>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</si>
  <si>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</si>
  <si>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</si>
  <si>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</si>
  <si>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</si>
  <si>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</si>
  <si>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</si>
  <si>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</si>
  <si>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</si>
  <si>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</si>
  <si>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</si>
  <si>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</si>
  <si>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</si>
  <si>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</si>
  <si>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</si>
  <si>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</si>
  <si>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</si>
  <si>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</si>
  <si>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</si>
  <si>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</si>
  <si>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</si>
  <si>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</si>
  <si>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</si>
  <si>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</si>
  <si>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</si>
  <si>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</si>
  <si>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</si>
  <si>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</si>
  <si>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</si>
  <si>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</si>
  <si>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</si>
  <si>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</si>
  <si>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</si>
  <si>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</si>
  <si>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</si>
  <si>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</si>
  <si>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</si>
  <si>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</si>
  <si>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</si>
  <si>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</si>
  <si>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</si>
  <si>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</si>
  <si>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</si>
  <si>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</si>
  <si>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</si>
  <si>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</si>
  <si>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</si>
  <si>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</si>
  <si>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</si>
  <si>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</si>
  <si>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</si>
  <si>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</si>
  <si>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</si>
  <si>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</si>
  <si>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</si>
  <si>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</si>
  <si>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</si>
  <si>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</si>
  <si>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</si>
  <si>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</si>
  <si>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</si>
  <si>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</si>
  <si>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</si>
  <si>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</si>
  <si>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</si>
  <si>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</si>
  <si>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</si>
  <si>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</si>
  <si>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</si>
  <si>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</si>
  <si>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</si>
  <si>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</si>
  <si>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</si>
  <si>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</si>
  <si>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</si>
  <si>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</si>
  <si>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</si>
  <si>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</si>
  <si>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</si>
  <si>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</si>
  <si>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</si>
  <si>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</si>
  <si>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</si>
  <si>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</si>
  <si>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</si>
  <si>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</si>
  <si>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</si>
  <si>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</si>
  <si>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</si>
  <si>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</si>
  <si>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</si>
  <si>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</si>
  <si>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</si>
  <si>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</si>
  <si>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</si>
  <si>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</si>
  <si>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</si>
  <si>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</si>
  <si>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</si>
  <si>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</si>
  <si>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</si>
  <si>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</si>
  <si>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</si>
  <si>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</si>
  <si>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</si>
  <si>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</si>
  <si>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</si>
  <si>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</si>
  <si>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</si>
  <si>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</si>
  <si>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</si>
  <si>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</si>
  <si>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</si>
  <si>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</si>
  <si>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</si>
  <si>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</si>
  <si>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</si>
  <si>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</si>
  <si>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</si>
  <si>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</si>
  <si>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</si>
  <si>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</si>
  <si>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</si>
  <si>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</si>
  <si>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</si>
  <si>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</si>
  <si>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</si>
  <si>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</si>
  <si>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</si>
  <si>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</si>
  <si>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</si>
  <si>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</si>
  <si>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</si>
  <si>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</si>
  <si>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</si>
  <si>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</si>
  <si>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</si>
  <si>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</si>
  <si>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</si>
  <si>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</si>
  <si>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</si>
  <si>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</si>
  <si>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</si>
  <si>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</si>
  <si>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</si>
  <si>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</si>
  <si>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</si>
  <si>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</si>
  <si>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</si>
  <si>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</si>
  <si>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</si>
  <si>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</si>
  <si>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</si>
  <si>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</si>
  <si>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</si>
  <si>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</si>
  <si>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</si>
  <si>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</si>
  <si>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</si>
  <si>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</si>
  <si>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</si>
  <si>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</si>
  <si>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</si>
  <si>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</si>
  <si>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</si>
  <si>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</si>
  <si>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</si>
  <si>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</si>
  <si>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</si>
  <si>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</si>
  <si>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</si>
  <si>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</si>
  <si>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</si>
  <si>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</si>
  <si>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</si>
  <si>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</si>
  <si>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</si>
  <si>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</si>
  <si>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</si>
  <si>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</si>
  <si>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</si>
  <si>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</si>
  <si>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</si>
  <si>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</si>
  <si>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</si>
  <si>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</si>
  <si>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</si>
  <si>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</si>
  <si>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</si>
  <si>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</si>
  <si>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</si>
  <si>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</si>
  <si>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</si>
  <si>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</si>
  <si>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</si>
  <si>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</si>
  <si>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</si>
  <si>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</si>
  <si>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</si>
  <si>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</si>
  <si>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</si>
  <si>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</si>
  <si>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</si>
  <si>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</si>
  <si>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</si>
  <si>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</si>
  <si>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</si>
  <si>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</si>
  <si>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</si>
  <si>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</si>
  <si>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</si>
  <si>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</si>
  <si>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</si>
  <si>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</si>
  <si>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</si>
  <si>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</si>
  <si>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</si>
  <si>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</si>
  <si>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</si>
  <si>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</si>
  <si>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</si>
  <si>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</si>
  <si>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</si>
  <si>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</si>
  <si>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</si>
  <si>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</si>
  <si>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</si>
  <si>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</si>
  <si>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</si>
  <si>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</si>
  <si>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</si>
  <si>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</si>
  <si>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</si>
  <si>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</si>
  <si>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</si>
  <si>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</si>
  <si>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</si>
  <si>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</si>
  <si>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</si>
  <si>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</si>
  <si>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</si>
  <si>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</si>
  <si>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</si>
  <si>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</si>
  <si>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</si>
  <si>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</si>
  <si>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</si>
  <si>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</si>
  <si>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</si>
  <si>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</si>
  <si>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</si>
  <si>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</si>
  <si>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</si>
  <si>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</si>
  <si>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</si>
  <si>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</si>
  <si>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</si>
  <si>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</si>
  <si>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</si>
  <si>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</si>
  <si>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</si>
  <si>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</si>
  <si>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</si>
  <si>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</si>
  <si>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</si>
  <si>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</si>
  <si>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</si>
  <si>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</si>
  <si>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</si>
  <si>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</si>
  <si>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</si>
  <si>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</si>
  <si>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</si>
  <si>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</si>
  <si>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</si>
  <si>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</si>
  <si>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</si>
  <si>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</si>
  <si>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</si>
  <si>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</si>
  <si>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</si>
  <si>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</si>
  <si>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</si>
  <si>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</si>
  <si>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</si>
  <si>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</si>
  <si>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</si>
  <si>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</si>
  <si>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</si>
  <si>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</si>
  <si>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</si>
  <si>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</si>
  <si>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</si>
  <si>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</si>
  <si>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</si>
  <si>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</si>
  <si>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</si>
  <si>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</si>
  <si>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</si>
  <si>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</si>
  <si>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</si>
  <si>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</si>
  <si>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</si>
  <si>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</si>
  <si>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</si>
  <si>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</si>
  <si>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</si>
  <si>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</si>
  <si>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</si>
  <si>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</si>
  <si>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</si>
  <si>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</si>
  <si>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</si>
  <si>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</si>
  <si>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</si>
  <si>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</si>
  <si>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</si>
  <si>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</si>
  <si>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</si>
  <si>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</si>
  <si>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</si>
  <si>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</si>
  <si>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</si>
  <si>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</si>
  <si>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</si>
  <si>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</si>
  <si>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</si>
  <si>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</si>
  <si>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</si>
  <si>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</si>
  <si>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</si>
  <si>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</si>
  <si>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</si>
  <si>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</si>
  <si>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</si>
  <si>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</si>
  <si>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</si>
  <si>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</si>
  <si>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</si>
  <si>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</si>
  <si>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</si>
  <si>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</si>
  <si>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</si>
  <si>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</si>
  <si>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</si>
  <si>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</si>
  <si>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</si>
  <si>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</si>
  <si>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</si>
  <si>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</si>
  <si>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</si>
  <si>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</si>
  <si>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</si>
  <si>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</si>
  <si>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</si>
  <si>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</si>
  <si>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</si>
  <si>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</si>
  <si>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</si>
  <si>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</si>
  <si>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</si>
  <si>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</si>
  <si>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</si>
  <si>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</si>
  <si>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</si>
  <si>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</si>
  <si>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</si>
  <si>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</si>
  <si>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</si>
  <si>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</si>
  <si>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</si>
  <si>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</si>
  <si>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</si>
  <si>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</si>
  <si>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</si>
  <si>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</si>
  <si>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</si>
  <si>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</si>
  <si>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</si>
  <si>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</si>
  <si>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</si>
  <si>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</si>
  <si>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</si>
  <si>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</si>
  <si>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</si>
  <si>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</si>
  <si>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</si>
  <si>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</si>
  <si>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</si>
  <si>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</si>
  <si>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</si>
  <si>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</si>
  <si>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</si>
  <si>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</si>
  <si>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</si>
  <si>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</si>
  <si>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</si>
  <si>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</si>
  <si>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</si>
  <si>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</si>
  <si>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</si>
  <si>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</si>
  <si>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</si>
  <si>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</si>
  <si>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</si>
  <si>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</si>
  <si>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</si>
  <si>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</si>
  <si>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</si>
  <si>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</si>
  <si>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</si>
  <si>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</si>
  <si>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</si>
  <si>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</si>
  <si>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</si>
  <si>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</si>
  <si>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</si>
  <si>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</si>
  <si>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</si>
  <si>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</si>
  <si>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</si>
  <si>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</si>
  <si>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</si>
  <si>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</si>
  <si>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</si>
  <si>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</si>
  <si>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</si>
  <si>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</si>
  <si>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</si>
  <si>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</si>
  <si>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</si>
  <si>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</si>
  <si>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</si>
  <si>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</si>
  <si>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</si>
  <si>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</si>
  <si>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</si>
  <si>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</si>
  <si>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</si>
  <si>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</si>
  <si>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</si>
  <si>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</si>
  <si>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</si>
  <si>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</si>
  <si>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</si>
  <si>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</si>
  <si>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</si>
  <si>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</si>
  <si>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</si>
  <si>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</si>
  <si>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</si>
  <si>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</si>
  <si>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</si>
  <si>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</si>
  <si>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</si>
  <si>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</si>
  <si>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</si>
  <si>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</si>
  <si>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</si>
  <si>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</si>
  <si>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</si>
  <si>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</si>
  <si>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</si>
  <si>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</si>
  <si>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</si>
  <si>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</si>
  <si>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</si>
  <si>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</si>
  <si>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</si>
  <si>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</si>
  <si>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</si>
  <si>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</si>
  <si>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>Druskininkų savivaldybė</t>
  </si>
  <si>
    <t>www.akvapark.lt/apie-bendrove/</t>
  </si>
  <si>
    <t>Druskininkų kultūros centras</t>
  </si>
  <si>
    <t>Padėkos šventės programos, kuri yra Druskininkų kultūros centro vykdomo strateginio plano dalis (Druskininkų savivaldybės tarybos 2022 m. vasario 21 d. sprendimas Nr. T1-26 „Dėl Druskininkų savivaldybės 2022-2024 metų strateginio veiklos plano“), rėmimas.</t>
  </si>
  <si>
    <t>Asociacija Choras Druskininkai</t>
  </si>
  <si>
    <t>Choro „Druskininkai“ kolektyvo išvykos į Tarptautinį chorų konkursą 2023 m. birželio 6-8 d. Opatijos mieste, Kroatijoje, reprezentuojant Druskininkus, rėmimas.</t>
  </si>
  <si>
    <t>Narcizų žydėjimo šventės „Narcizų simfonija“ programos, kuri yra Druskininkų kultūros centro vykdomo strateginio plano dalis (Druskininkų savivaldybės tarybos 2023 m. sausio 30 d. sprendimas Nr. T1-1 „Dėl Druskininkų savivaldybės 2023-2025 metų strateginio veiklos plano), rėmimas</t>
  </si>
  <si>
    <t>Šeimos dienos renginių „Šeimadienis“ šventės, kuri yra Druskininkų kultūros centro vykdomo strateginio plano dalis (Druskininkų savivaldybės tarybos 2023 m. sausio 30 d. sprendimas Nr. T1-1 „Dėl Druskininkų savivaldybės 2023-2025 metų strateginio veiklos plano“), rėmimas.</t>
  </si>
  <si>
    <t>Druskininkų Kurorto šventės programos, kuri yra Druskininkų kultūros centro vykdomo strateginio plano dalis (Druskininkų savivaldybės tarybos 2023 m. sausio 30 d. sprendimas Nr. T1-1 „Dėl Druskininkų savivaldybės 2023-2025 metų strateginio veiklos plano“), rėmimas.</t>
  </si>
  <si>
    <t>Druskininkų jaunimo ir kultūros centro organizuojamo renginio „Kurorto showcase 23“, vyksiančio 2023 m. liepos 21 d., rėmimas</t>
  </si>
  <si>
    <t>Vyr. finansininkas Žydrūnas Naujalis</t>
  </si>
  <si>
    <t>8 687 35737, zydrunas@akvapark.lt</t>
  </si>
  <si>
    <t>Tel.: 8 867 35737, zydrunas@akvapark.lt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</si>
</sst>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80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9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Normal 2 2" xfId="3" xr:uid="{A1B8947E-F63E-4861-B210-DC8E491CFC47}"/>
    <cellStyle name="Percent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tabSelected="1" topLeftCell="A116" zoomScaleNormal="100" zoomScaleSheetLayoutView="85" zoomScalePageLayoutView="60" workbookViewId="0">
      <selection activeCell="C118" sqref="C118:E118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49" t="s">
        <v>541</v>
      </c>
      <c r="E2" s="450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51"/>
      <c r="E3" s="452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51"/>
      <c r="E4" s="452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62" t="s">
        <v>5</v>
      </c>
      <c r="C6" s="463"/>
      <c r="D6" s="463"/>
      <c r="E6" s="464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65" t="s">
        <v>61</v>
      </c>
      <c r="D8" s="465"/>
      <c r="E8" s="466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53" t="str">
        <f>IFERROR(VLOOKUP(C8,$R$1:$T$236,3,FALSE),"")</f>
        <v>Uždaroji akcinė bendrovė (UAB)</v>
      </c>
      <c r="D9" s="453"/>
      <c r="E9" s="454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53">
        <f>IFERROR(VLOOKUP(C8,$R$2:$S$236,2,FALSE),"")</f>
        <v>300076944</v>
      </c>
      <c r="D10" s="453"/>
      <c r="E10" s="454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67" t="str">
        <f>IFERROR(VLOOKUP(C8,$R$2:$U$236,4,FALSE),"")</f>
        <v>Kita</v>
      </c>
      <c r="D11" s="467"/>
      <c r="E11" s="468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55"/>
      <c r="D12" s="455"/>
      <c r="E12" s="456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57"/>
      <c r="D13" s="457"/>
      <c r="E13" s="458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59" t="s">
        <v>36</v>
      </c>
      <c r="D15" s="460"/>
      <c r="E15" s="461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71" t="s">
        <v>343</v>
      </c>
      <c r="D16" s="471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72" t="s">
        <v>542</v>
      </c>
      <c r="D17" s="473"/>
      <c r="E17" s="152">
        <v>1</v>
      </c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72"/>
      <c r="D18" s="473"/>
      <c r="E18" s="152"/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23"/>
      <c r="D19" s="424"/>
      <c r="E19" s="152"/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23"/>
      <c r="D20" s="424"/>
      <c r="E20" s="152"/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23"/>
      <c r="D21" s="424"/>
      <c r="E21" s="152"/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25" t="s">
        <v>68</v>
      </c>
      <c r="D22" s="426"/>
      <c r="E22" s="153">
        <f>100%-SUM(E17:E21)</f>
        <v>0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27">
        <v>1</v>
      </c>
      <c r="D24" s="427"/>
      <c r="E24" s="428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21"/>
      <c r="D25" s="421"/>
      <c r="E25" s="422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47" t="s">
        <v>208</v>
      </c>
      <c r="D27" s="447"/>
      <c r="E27" s="448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69"/>
      <c r="D28" s="469"/>
      <c r="E28" s="470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43" t="s">
        <v>79</v>
      </c>
      <c r="D30" s="443"/>
      <c r="E30" s="444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45" t="s">
        <v>81</v>
      </c>
      <c r="D31" s="445"/>
      <c r="E31" s="446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35" t="s">
        <v>83</v>
      </c>
      <c r="D32" s="435"/>
      <c r="E32" s="436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37" t="s">
        <v>85</v>
      </c>
      <c r="D33" s="437"/>
      <c r="E33" s="438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16210</v>
      </c>
      <c r="D35" s="34"/>
      <c r="E35" s="163">
        <v>17709.48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4414.3999999999996</v>
      </c>
      <c r="D36" s="34"/>
      <c r="E36" s="164">
        <v>4294.6000000000004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11795.6</v>
      </c>
      <c r="D37" s="34"/>
      <c r="E37" s="166">
        <f>+E35-E36</f>
        <v>13414.88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>
        <v>6294.7849999999999</v>
      </c>
      <c r="D38" s="48"/>
      <c r="E38" s="382">
        <v>6902.8190000000004</v>
      </c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>
        <v>7398.4</v>
      </c>
      <c r="D39" s="48"/>
      <c r="E39" s="167">
        <v>4463.8999999999996</v>
      </c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-1897.5849999999991</v>
      </c>
      <c r="D40" s="34"/>
      <c r="E40" s="166">
        <f>+E37-E38-E39</f>
        <v>2048.1609999999991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>
        <v>5321.1</v>
      </c>
      <c r="D42" s="48"/>
      <c r="E42" s="169">
        <v>17.7</v>
      </c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-294.39999999999998</v>
      </c>
      <c r="D43" s="34"/>
      <c r="E43" s="170">
        <f>E44-E45</f>
        <v>-536.93600000000004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>
        <v>17.3</v>
      </c>
      <c r="D44" s="48"/>
      <c r="E44" s="172">
        <v>36.5</v>
      </c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>
        <v>311.7</v>
      </c>
      <c r="D45" s="48"/>
      <c r="E45" s="173">
        <v>573.43600000000004</v>
      </c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3129.1150000000011</v>
      </c>
      <c r="D46" s="34"/>
      <c r="E46" s="166">
        <f>+E40+E41+E42+E43</f>
        <v>1528.9249999999988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>
        <v>479.5</v>
      </c>
      <c r="D47" s="49"/>
      <c r="E47" s="174">
        <v>178.4</v>
      </c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2649.6150000000011</v>
      </c>
      <c r="D48" s="34"/>
      <c r="E48" s="166">
        <f>E46-E47</f>
        <v>1350.5249999999987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43" t="s">
        <v>79</v>
      </c>
      <c r="D50" s="443"/>
      <c r="E50" s="444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>
        <v>776.39300000000003</v>
      </c>
      <c r="D52" s="38"/>
      <c r="E52" s="172">
        <v>160</v>
      </c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36141.199999999997</v>
      </c>
      <c r="D53" s="48"/>
      <c r="E53" s="178">
        <v>36211.4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>
        <v>21.5</v>
      </c>
      <c r="D54" s="48"/>
      <c r="E54" s="178">
        <v>29.7</v>
      </c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>
        <v>48.7</v>
      </c>
      <c r="D55" s="48"/>
      <c r="E55" s="178">
        <v>135</v>
      </c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36987.792999999991</v>
      </c>
      <c r="D56" s="34"/>
      <c r="E56" s="180">
        <f>SUM(E52:E55)</f>
        <v>36536.1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394.3</v>
      </c>
      <c r="D58" s="48"/>
      <c r="E58" s="172">
        <v>378.9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327.10000000000002</v>
      </c>
      <c r="D59" s="48"/>
      <c r="E59" s="178">
        <v>324.60000000000002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>
        <v>100.3</v>
      </c>
      <c r="D60" s="48"/>
      <c r="E60" s="178">
        <v>120.58</v>
      </c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>
        <v>0</v>
      </c>
      <c r="D61" s="48"/>
      <c r="E61" s="178">
        <v>1000</v>
      </c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>
        <v>4546.8249999999998</v>
      </c>
      <c r="D62" s="48"/>
      <c r="E62" s="173">
        <v>2217.136</v>
      </c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5268.2250000000004</v>
      </c>
      <c r="D63" s="34"/>
      <c r="E63" s="46">
        <f>SUM(E58:E59,E61:E62)</f>
        <v>3920.636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>
        <v>124.7</v>
      </c>
      <c r="D65" s="49"/>
      <c r="E65" s="185">
        <v>84</v>
      </c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/>
      <c r="D67" s="48"/>
      <c r="E67" s="178"/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42380.717999999986</v>
      </c>
      <c r="D69" s="34"/>
      <c r="E69" s="180">
        <f>SUM(E56,E63,E65,E67)</f>
        <v>40540.735999999997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23441.553</v>
      </c>
      <c r="D71" s="48"/>
      <c r="E71" s="178">
        <v>23441.553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23441.553</v>
      </c>
      <c r="D72" s="48"/>
      <c r="E72" s="178">
        <v>23441.553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/>
      <c r="D73" s="48"/>
      <c r="E73" s="178"/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/>
      <c r="D74" s="48"/>
      <c r="E74" s="178"/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>
        <v>0.81599999999999995</v>
      </c>
      <c r="D75" s="48"/>
      <c r="E75" s="178">
        <v>0.81599999999999995</v>
      </c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/>
      <c r="D76" s="48"/>
      <c r="E76" s="178"/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>
        <v>1422.51</v>
      </c>
      <c r="D77" s="48"/>
      <c r="E77" s="178">
        <v>1422.51</v>
      </c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>
        <v>1369.2</v>
      </c>
      <c r="D78" s="48"/>
      <c r="E78" s="178">
        <v>1369.2</v>
      </c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3817.8</v>
      </c>
      <c r="D79" s="48"/>
      <c r="E79" s="178">
        <v>4668.3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28682.678999999996</v>
      </c>
      <c r="D80" s="34"/>
      <c r="E80" s="180">
        <f>SUM(E71,E73:E77,E79:E79)</f>
        <v>29533.178999999996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>
        <v>143.9</v>
      </c>
      <c r="D82" s="58"/>
      <c r="E82" s="190">
        <v>107.191</v>
      </c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>
        <v>7.1</v>
      </c>
      <c r="D84" s="49"/>
      <c r="E84" s="174"/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>
        <v>8588.4</v>
      </c>
      <c r="D86" s="48"/>
      <c r="E86" s="178">
        <v>5629.9</v>
      </c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>
        <v>0</v>
      </c>
      <c r="D87" s="48"/>
      <c r="E87" s="178">
        <v>0</v>
      </c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>
        <v>8361.7000000000007</v>
      </c>
      <c r="D88" s="48"/>
      <c r="E88" s="178">
        <v>0</v>
      </c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4958.7</v>
      </c>
      <c r="D89" s="48"/>
      <c r="E89" s="178">
        <v>5270.4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>
        <v>437.9</v>
      </c>
      <c r="D90" s="48"/>
      <c r="E90" s="178">
        <v>451.8</v>
      </c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>
        <v>1761.7</v>
      </c>
      <c r="D91" s="48"/>
      <c r="E91" s="178">
        <v>2122.4209999999998</v>
      </c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/>
      <c r="D92" s="48"/>
      <c r="E92" s="178"/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13547.099999999999</v>
      </c>
      <c r="D93" s="34"/>
      <c r="E93" s="180">
        <f>SUM(E86,E89)</f>
        <v>10900.3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/>
      <c r="D95" s="49"/>
      <c r="E95" s="185"/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/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42380.778999999995</v>
      </c>
      <c r="D99" s="34"/>
      <c r="E99" s="180">
        <f>SUM(E80,E82,E84,E93,E95,E97)</f>
        <v>40540.67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43" t="s">
        <v>79</v>
      </c>
      <c r="D105" s="443"/>
      <c r="E105" s="444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1634.4</v>
      </c>
      <c r="D107" s="49"/>
      <c r="E107" s="244">
        <v>1527.7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/>
      <c r="D108" s="34"/>
      <c r="E108" s="288"/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/>
      <c r="D109" s="34"/>
      <c r="E109" s="11"/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/>
      <c r="D110" s="48"/>
      <c r="E110" s="178"/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396</v>
      </c>
      <c r="D113" s="134"/>
      <c r="E113" s="200">
        <v>398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>
        <v>14</v>
      </c>
      <c r="D114" s="48"/>
      <c r="E114" s="178">
        <v>13</v>
      </c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6353.4</v>
      </c>
      <c r="D115" s="34"/>
      <c r="E115" s="190">
        <v>6783.6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33"/>
      <c r="D118" s="433"/>
      <c r="E118" s="434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39">
        <v>45412</v>
      </c>
      <c r="D123" s="439"/>
      <c r="E123" s="440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41" t="s">
        <v>552</v>
      </c>
      <c r="D124" s="441"/>
      <c r="E124" s="442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29" t="s">
        <v>553</v>
      </c>
      <c r="D125" s="429"/>
      <c r="E125" s="430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31"/>
      <c r="D126" s="431"/>
      <c r="E126" s="432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  <mergeCell ref="C125:E125"/>
    <mergeCell ref="C126:E126"/>
    <mergeCell ref="C118:E118"/>
    <mergeCell ref="C32:E32"/>
    <mergeCell ref="C33:E33"/>
    <mergeCell ref="C123:E123"/>
    <mergeCell ref="C124:E124"/>
    <mergeCell ref="C50:E50"/>
    <mergeCell ref="C105:E105"/>
    <mergeCell ref="C25:E25"/>
    <mergeCell ref="C19:D19"/>
    <mergeCell ref="C20:D20"/>
    <mergeCell ref="C21:D21"/>
    <mergeCell ref="C22:D22"/>
    <mergeCell ref="C24:E24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806" yWindow="488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4"/>
      <c r="E2" s="474"/>
      <c r="F2" s="117"/>
      <c r="G2" s="117"/>
    </row>
    <row r="3" spans="1:7" ht="29.25" customHeight="1" x14ac:dyDescent="0.2">
      <c r="A3" s="117"/>
      <c r="B3" s="64"/>
      <c r="C3" s="64"/>
      <c r="D3" s="475" t="s">
        <v>338</v>
      </c>
      <c r="E3" s="475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63" t="s">
        <v>340</v>
      </c>
      <c r="C6" s="463"/>
      <c r="D6" s="463"/>
      <c r="E6" s="463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83" t="str">
        <f>'Finansiniai duomenys'!C8</f>
        <v>UAB „Druskininkų sveikatinimo ir poilsio centras AQUA“</v>
      </c>
      <c r="D9" s="483"/>
      <c r="E9" s="483"/>
      <c r="F9" s="117"/>
      <c r="G9" s="117"/>
    </row>
    <row r="10" spans="1:7" x14ac:dyDescent="0.2">
      <c r="A10" s="117"/>
      <c r="B10" s="85" t="s">
        <v>9</v>
      </c>
      <c r="C10" s="453" t="str">
        <f>'Finansiniai duomenys'!C9</f>
        <v>Uždaroji akcinė bendrovė (UAB)</v>
      </c>
      <c r="D10" s="453"/>
      <c r="E10" s="453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53" t="e">
        <f>'Finansiniai duomenys'!#REF!</f>
        <v>#REF!</v>
      </c>
      <c r="D14" s="453"/>
      <c r="E14" s="453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53">
        <f>'Finansiniai duomenys'!C10</f>
        <v>300076944</v>
      </c>
      <c r="D27" s="453"/>
      <c r="E27" s="453"/>
      <c r="F27" s="117"/>
      <c r="G27" s="117"/>
    </row>
    <row r="28" spans="1:9" x14ac:dyDescent="0.2">
      <c r="A28" s="117"/>
      <c r="B28" s="35" t="s">
        <v>16</v>
      </c>
      <c r="C28" s="453" t="e">
        <f>'Finansiniai duomenys'!#REF!</f>
        <v>#REF!</v>
      </c>
      <c r="D28" s="453"/>
      <c r="E28" s="453"/>
      <c r="F28" s="117"/>
      <c r="G28" s="117"/>
    </row>
    <row r="29" spans="1:9" x14ac:dyDescent="0.2">
      <c r="A29" s="117"/>
      <c r="B29" s="35" t="s">
        <v>20</v>
      </c>
      <c r="C29" s="453" t="e">
        <f>'Finansiniai duomenys'!#REF!</f>
        <v>#REF!</v>
      </c>
      <c r="D29" s="453"/>
      <c r="E29" s="453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53" t="e">
        <f>'Finansiniai duomenys'!#REF!</f>
        <v>#REF!</v>
      </c>
      <c r="D30" s="453"/>
      <c r="E30" s="453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53">
        <f>'Finansiniai duomenys'!C12</f>
        <v>0</v>
      </c>
      <c r="D31" s="453"/>
      <c r="E31" s="453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82">
        <f>'Finansiniai duomenys'!C13</f>
        <v>0</v>
      </c>
      <c r="D32" s="482"/>
      <c r="E32" s="482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59" t="s">
        <v>36</v>
      </c>
      <c r="D34" s="460"/>
      <c r="E34" s="460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71" t="s">
        <v>343</v>
      </c>
      <c r="D35" s="471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6" t="str">
        <f>'Finansiniai duomenys'!C17</f>
        <v>Druskininkų savivaldybė</v>
      </c>
      <c r="D36" s="477"/>
      <c r="E36" s="118">
        <f>'Finansiniai duomenys'!E17</f>
        <v>1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6">
        <f>'Finansiniai duomenys'!C18</f>
        <v>0</v>
      </c>
      <c r="D37" s="477"/>
      <c r="E37" s="118">
        <f>'Finansiniai duomenys'!E18</f>
        <v>0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6" t="e">
        <f>'Finansiniai duomenys'!#REF!</f>
        <v>#REF!</v>
      </c>
      <c r="D38" s="477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6" t="e">
        <f>'Finansiniai duomenys'!#REF!</f>
        <v>#REF!</v>
      </c>
      <c r="D39" s="477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6" t="e">
        <f>'Finansiniai duomenys'!#REF!</f>
        <v>#REF!</v>
      </c>
      <c r="D40" s="477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25" t="s">
        <v>68</v>
      </c>
      <c r="D41" s="426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78">
        <f>'Finansiniai duomenys'!C24</f>
        <v>1</v>
      </c>
      <c r="D43" s="478"/>
      <c r="E43" s="478"/>
      <c r="F43" s="117"/>
      <c r="G43" s="117"/>
    </row>
    <row r="44" spans="1:9" ht="24" x14ac:dyDescent="0.2">
      <c r="A44" s="117"/>
      <c r="B44" s="87" t="s">
        <v>344</v>
      </c>
      <c r="C44" s="479">
        <f>'Finansiniai duomenys'!C25</f>
        <v>0</v>
      </c>
      <c r="D44" s="479"/>
      <c r="E44" s="479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0" t="e">
        <f>'Finansiniai duomenys'!#REF!</f>
        <v>#REF!</v>
      </c>
      <c r="D46" s="480"/>
      <c r="E46" s="480"/>
      <c r="F46" s="117"/>
      <c r="G46" s="117"/>
    </row>
    <row r="47" spans="1:9" ht="41.25" customHeight="1" x14ac:dyDescent="0.2">
      <c r="A47" s="117"/>
      <c r="B47" s="88" t="s">
        <v>76</v>
      </c>
      <c r="C47" s="481" t="e">
        <f>'Finansiniai duomenys'!#REF!</f>
        <v>#REF!</v>
      </c>
      <c r="D47" s="481"/>
      <c r="E47" s="481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3" t="s">
        <v>79</v>
      </c>
      <c r="D49" s="443"/>
      <c r="E49" s="443"/>
      <c r="F49" s="117"/>
      <c r="G49" s="117"/>
      <c r="H49" s="36"/>
    </row>
    <row r="50" spans="1:12" s="36" customFormat="1" ht="12" customHeight="1" x14ac:dyDescent="0.2">
      <c r="A50" s="123"/>
      <c r="B50" s="135"/>
      <c r="C50" s="445"/>
      <c r="D50" s="445"/>
      <c r="E50" s="445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5" t="s">
        <v>83</v>
      </c>
      <c r="D51" s="435"/>
      <c r="E51" s="435"/>
      <c r="F51" s="117"/>
      <c r="G51" s="117"/>
    </row>
    <row r="52" spans="1:12" x14ac:dyDescent="0.2">
      <c r="A52" s="117"/>
      <c r="B52" s="34"/>
      <c r="C52" s="437" t="s">
        <v>85</v>
      </c>
      <c r="D52" s="437"/>
      <c r="E52" s="437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33"/>
      <c r="D139" s="433"/>
      <c r="E139" s="433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39"/>
      <c r="D144" s="439"/>
      <c r="E144" s="439"/>
      <c r="F144" s="117"/>
      <c r="G144" s="117"/>
    </row>
    <row r="145" spans="1:7" x14ac:dyDescent="0.2">
      <c r="A145" s="117"/>
      <c r="B145" s="34" t="s">
        <v>236</v>
      </c>
      <c r="C145" s="441"/>
      <c r="D145" s="441"/>
      <c r="E145" s="441"/>
      <c r="F145" s="117"/>
      <c r="G145" s="117"/>
    </row>
    <row r="146" spans="1:7" ht="24" x14ac:dyDescent="0.2">
      <c r="A146" s="117"/>
      <c r="B146" s="115" t="s">
        <v>238</v>
      </c>
      <c r="C146" s="429"/>
      <c r="D146" s="429"/>
      <c r="E146" s="429"/>
      <c r="F146" s="117"/>
      <c r="G146" s="117"/>
    </row>
    <row r="147" spans="1:7" ht="30" customHeight="1" x14ac:dyDescent="0.2">
      <c r="A147" s="117"/>
      <c r="B147" s="116" t="s">
        <v>360</v>
      </c>
      <c r="C147" s="431"/>
      <c r="D147" s="431"/>
      <c r="E147" s="431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71"/>
  <sheetViews>
    <sheetView showGridLines="0" topLeftCell="A59" zoomScaleNormal="100" workbookViewId="0">
      <selection activeCell="G12" sqref="G12:G14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85" t="s">
        <v>433</v>
      </c>
      <c r="E2" s="486"/>
      <c r="F2" s="486"/>
      <c r="G2" s="486"/>
      <c r="H2" s="497" t="s">
        <v>361</v>
      </c>
      <c r="I2" s="497"/>
      <c r="J2" s="498"/>
      <c r="K2" s="12"/>
    </row>
    <row r="3" spans="1:13" ht="51" customHeight="1" x14ac:dyDescent="0.25">
      <c r="A3" s="12"/>
      <c r="B3" s="313"/>
      <c r="D3" s="484" t="s">
        <v>540</v>
      </c>
      <c r="E3" s="484"/>
      <c r="F3" s="484"/>
      <c r="H3" s="373" t="s">
        <v>339</v>
      </c>
      <c r="J3" s="314"/>
      <c r="K3" s="12"/>
    </row>
    <row r="4" spans="1:13" s="12" customFormat="1" x14ac:dyDescent="0.25">
      <c r="B4" s="499" t="s">
        <v>7</v>
      </c>
      <c r="C4" s="500"/>
      <c r="D4" s="503" t="str">
        <f>'Finansiniai duomenys'!C8</f>
        <v>UAB „Druskininkų sveikatinimo ir poilsio centras AQUA“</v>
      </c>
      <c r="E4" s="503"/>
      <c r="F4" s="503"/>
      <c r="G4" s="503"/>
      <c r="H4" s="501"/>
      <c r="I4" s="501"/>
      <c r="J4" s="502"/>
      <c r="L4"/>
    </row>
    <row r="5" spans="1:13" s="12" customFormat="1" x14ac:dyDescent="0.25">
      <c r="B5" s="499" t="s">
        <v>9</v>
      </c>
      <c r="C5" s="500"/>
      <c r="D5" s="501" t="str">
        <f>IFERROR(VLOOKUP(D4,'Finansiniai duomenys'!R2:T229,3,FALSE),"")</f>
        <v>Uždaroji akcinė bendrovė (UAB)</v>
      </c>
      <c r="E5" s="501"/>
      <c r="F5" s="501"/>
      <c r="G5" s="501"/>
      <c r="H5" s="501"/>
      <c r="I5" s="501"/>
      <c r="J5" s="502"/>
      <c r="L5"/>
    </row>
    <row r="6" spans="1:13" s="12" customFormat="1" x14ac:dyDescent="0.25">
      <c r="B6" s="499" t="s">
        <v>13</v>
      </c>
      <c r="C6" s="500"/>
      <c r="D6" s="501">
        <f>IFERROR(VLOOKUP(D4,'Finansiniai duomenys'!R2:T229,2,FALSE),"")</f>
        <v>300076944</v>
      </c>
      <c r="E6" s="501"/>
      <c r="F6" s="501"/>
      <c r="G6" s="501"/>
      <c r="H6" s="501"/>
      <c r="I6" s="501"/>
      <c r="J6" s="502"/>
      <c r="L6"/>
    </row>
    <row r="7" spans="1:13" x14ac:dyDescent="0.25">
      <c r="A7" s="12"/>
      <c r="B7" s="499" t="s">
        <v>20</v>
      </c>
      <c r="C7" s="500"/>
      <c r="D7" s="501" t="str">
        <f>IFERROR(VLOOKUP(D4,'Finansiniai duomenys'!R2:U229,4,FALSE),"")</f>
        <v>Kita</v>
      </c>
      <c r="E7" s="501"/>
      <c r="F7" s="501"/>
      <c r="G7" s="501"/>
      <c r="H7" s="501"/>
      <c r="I7" s="501"/>
      <c r="J7" s="502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/>
      <c r="H12" s="395"/>
      <c r="I12" s="396"/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/>
      <c r="I13" s="404"/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/>
      <c r="H14" s="399"/>
      <c r="I14" s="307"/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/>
      <c r="I17" s="28"/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/>
      <c r="I18" s="28"/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/>
      <c r="I19" s="28"/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/>
      <c r="I20" s="28"/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/>
      <c r="I21" s="28"/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/>
      <c r="I22" s="28"/>
      <c r="J22" s="314"/>
      <c r="K22" s="12"/>
    </row>
    <row r="23" spans="1:11" x14ac:dyDescent="0.25">
      <c r="A23" s="12"/>
      <c r="B23" s="313"/>
      <c r="D23" s="313" t="s">
        <v>417</v>
      </c>
      <c r="G23" s="28"/>
      <c r="I23" s="28"/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/>
      <c r="I24" s="28"/>
      <c r="J24" s="314"/>
      <c r="K24" s="12"/>
    </row>
    <row r="25" spans="1:11" x14ac:dyDescent="0.25">
      <c r="A25" s="12"/>
      <c r="B25" s="313"/>
      <c r="D25" s="313" t="s">
        <v>430</v>
      </c>
      <c r="G25" s="28"/>
      <c r="I25" s="28"/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/>
      <c r="I26" s="28"/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Gerai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/>
      <c r="H31" s="338"/>
      <c r="I31" s="306"/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/>
      <c r="H32" s="338"/>
      <c r="I32" s="306"/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/>
      <c r="H33" s="338"/>
      <c r="I33" s="306"/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/>
      <c r="H34" s="341"/>
      <c r="I34" s="304"/>
      <c r="J34" s="342"/>
      <c r="K34" s="12"/>
    </row>
    <row r="35" spans="1:11" x14ac:dyDescent="0.25">
      <c r="A35" s="12"/>
      <c r="B35" s="313"/>
      <c r="D35" s="343" t="s">
        <v>401</v>
      </c>
      <c r="G35" s="28"/>
      <c r="I35" s="28"/>
      <c r="J35" s="344"/>
      <c r="K35" s="12"/>
    </row>
    <row r="36" spans="1:11" x14ac:dyDescent="0.25">
      <c r="A36" s="12"/>
      <c r="B36" s="313"/>
      <c r="D36" s="343" t="s">
        <v>421</v>
      </c>
      <c r="G36" s="28"/>
      <c r="I36" s="28"/>
      <c r="J36" s="344"/>
      <c r="K36" s="12"/>
    </row>
    <row r="37" spans="1:11" x14ac:dyDescent="0.25">
      <c r="A37" s="12"/>
      <c r="B37" s="313"/>
      <c r="D37" s="343" t="s">
        <v>422</v>
      </c>
      <c r="G37" s="28"/>
      <c r="I37" s="28"/>
      <c r="J37" s="344"/>
      <c r="K37" s="12"/>
    </row>
    <row r="38" spans="1:11" x14ac:dyDescent="0.25">
      <c r="A38" s="12"/>
      <c r="B38" s="313"/>
      <c r="D38" s="343" t="s">
        <v>423</v>
      </c>
      <c r="G38" s="28"/>
      <c r="I38" s="28"/>
      <c r="J38" s="344"/>
      <c r="K38" s="12"/>
    </row>
    <row r="39" spans="1:11" x14ac:dyDescent="0.25">
      <c r="A39" s="12"/>
      <c r="B39" s="313"/>
      <c r="D39" s="343" t="s">
        <v>424</v>
      </c>
      <c r="G39" s="28"/>
      <c r="I39" s="28"/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/>
      <c r="H40" s="346"/>
      <c r="I40" s="305"/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/>
      <c r="I45" s="28"/>
      <c r="J45" s="344"/>
      <c r="K45" s="12"/>
    </row>
    <row r="46" spans="1:11" x14ac:dyDescent="0.25">
      <c r="A46" s="12"/>
      <c r="B46" s="313"/>
      <c r="D46" s="343" t="s">
        <v>384</v>
      </c>
      <c r="G46" s="28"/>
      <c r="I46" s="28"/>
      <c r="J46" s="344"/>
      <c r="K46" s="12"/>
    </row>
    <row r="47" spans="1:11" x14ac:dyDescent="0.25">
      <c r="A47" s="12"/>
      <c r="B47" s="313"/>
      <c r="D47" s="343" t="s">
        <v>385</v>
      </c>
      <c r="G47" s="28"/>
      <c r="I47" s="28"/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/>
      <c r="H48" s="346"/>
      <c r="I48" s="305"/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/>
      <c r="H49" s="346"/>
      <c r="I49" s="305"/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/>
      <c r="H50" s="346"/>
      <c r="I50" s="305"/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/>
      <c r="H51" s="341"/>
      <c r="I51" s="383"/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/>
      <c r="H52" s="391"/>
      <c r="I52" s="306"/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/>
      <c r="H53" s="385"/>
      <c r="I53" s="386"/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89"/>
      <c r="H56" s="489"/>
      <c r="I56" s="490"/>
      <c r="J56" s="314"/>
      <c r="K56" s="12"/>
    </row>
    <row r="57" spans="1:11" ht="52.9" customHeight="1" x14ac:dyDescent="0.25">
      <c r="A57" s="12"/>
      <c r="B57" s="313"/>
      <c r="D57" s="313"/>
      <c r="G57" s="491"/>
      <c r="H57" s="491"/>
      <c r="I57" s="492"/>
      <c r="J57" s="314"/>
      <c r="K57" s="12"/>
    </row>
    <row r="58" spans="1:11" x14ac:dyDescent="0.25">
      <c r="A58" s="12"/>
      <c r="B58" s="313"/>
      <c r="D58" s="379" t="s">
        <v>232</v>
      </c>
      <c r="G58" s="493"/>
      <c r="H58" s="493"/>
      <c r="I58" s="494"/>
      <c r="J58" s="314"/>
      <c r="K58" s="12"/>
    </row>
    <row r="59" spans="1:11" x14ac:dyDescent="0.25">
      <c r="A59" s="12"/>
      <c r="B59" s="313"/>
      <c r="D59" s="313" t="s">
        <v>234</v>
      </c>
      <c r="G59" s="495"/>
      <c r="H59" s="495"/>
      <c r="I59" s="496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495"/>
      <c r="H60" s="495"/>
      <c r="I60" s="496"/>
      <c r="J60" s="314"/>
      <c r="K60" s="12"/>
    </row>
    <row r="61" spans="1:11" x14ac:dyDescent="0.25">
      <c r="A61" s="12"/>
      <c r="B61" s="313"/>
      <c r="D61" s="313" t="s">
        <v>238</v>
      </c>
      <c r="G61" s="495"/>
      <c r="H61" s="495"/>
      <c r="I61" s="496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87"/>
      <c r="H62" s="487"/>
      <c r="I62" s="488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B7:C7"/>
    <mergeCell ref="D7:J7"/>
    <mergeCell ref="B4:C4"/>
    <mergeCell ref="D4:J4"/>
    <mergeCell ref="B5:C5"/>
    <mergeCell ref="D5:J5"/>
    <mergeCell ref="B6:C6"/>
    <mergeCell ref="D6:J6"/>
    <mergeCell ref="D3:F3"/>
    <mergeCell ref="D2:G2"/>
    <mergeCell ref="G62:I62"/>
    <mergeCell ref="G56:I57"/>
    <mergeCell ref="G58:I58"/>
    <mergeCell ref="G59:I59"/>
    <mergeCell ref="G60:I60"/>
    <mergeCell ref="G61:I61"/>
    <mergeCell ref="H2:J2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6" zoomScaleNormal="100" zoomScaleSheetLayoutView="100" workbookViewId="0">
      <selection activeCell="K81" sqref="K81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38" t="s">
        <v>361</v>
      </c>
      <c r="L3" s="539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44" t="s">
        <v>363</v>
      </c>
      <c r="D6" s="545"/>
      <c r="E6" s="545"/>
      <c r="F6" s="545"/>
      <c r="G6" s="545"/>
      <c r="H6" s="545"/>
      <c r="I6" s="545"/>
      <c r="J6" s="545"/>
      <c r="K6" s="545"/>
      <c r="L6" s="545"/>
      <c r="M6" s="546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40" t="s">
        <v>7</v>
      </c>
      <c r="D9" s="541"/>
      <c r="E9" s="542" t="str">
        <f>'Finansiniai duomenys'!C8</f>
        <v>UAB „Druskininkų sveikatinimo ir poilsio centras AQUA“</v>
      </c>
      <c r="F9" s="542"/>
      <c r="G9" s="542"/>
      <c r="H9" s="542"/>
      <c r="I9" s="542"/>
      <c r="J9" s="542"/>
      <c r="K9" s="13"/>
      <c r="L9" s="13"/>
      <c r="M9" s="221"/>
    </row>
    <row r="10" spans="2:15" ht="15.75" thickBot="1" x14ac:dyDescent="0.3">
      <c r="B10" s="220"/>
      <c r="C10" s="540" t="s">
        <v>9</v>
      </c>
      <c r="D10" s="541"/>
      <c r="E10" s="543" t="str">
        <f>'Finansiniai duomenys'!C9</f>
        <v>Uždaroji akcinė bendrovė (UAB)</v>
      </c>
      <c r="F10" s="543"/>
      <c r="G10" s="543"/>
      <c r="H10" s="543"/>
      <c r="I10" s="543"/>
      <c r="J10" s="543"/>
      <c r="K10" s="13"/>
      <c r="L10" s="13"/>
      <c r="M10" s="221"/>
    </row>
    <row r="11" spans="2:15" ht="15.75" thickBot="1" x14ac:dyDescent="0.3">
      <c r="B11" s="220"/>
      <c r="C11" s="540" t="s">
        <v>13</v>
      </c>
      <c r="D11" s="541"/>
      <c r="E11" s="543">
        <f>'Finansiniai duomenys'!C10</f>
        <v>300076944</v>
      </c>
      <c r="F11" s="543"/>
      <c r="G11" s="543"/>
      <c r="H11" s="543"/>
      <c r="I11" s="543"/>
      <c r="J11" s="543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10" t="s">
        <v>511</v>
      </c>
      <c r="D14" s="511"/>
      <c r="E14" s="508" t="s">
        <v>208</v>
      </c>
      <c r="F14" s="512"/>
      <c r="G14" s="248"/>
      <c r="H14" s="251"/>
      <c r="I14" s="506" t="s">
        <v>515</v>
      </c>
      <c r="J14" s="507"/>
      <c r="K14" s="508" t="s">
        <v>205</v>
      </c>
      <c r="L14" s="509"/>
      <c r="M14" s="222"/>
    </row>
    <row r="15" spans="2:15" ht="26.45" customHeight="1" thickBot="1" x14ac:dyDescent="0.3">
      <c r="B15" s="220"/>
      <c r="C15" s="510" t="s">
        <v>512</v>
      </c>
      <c r="D15" s="518"/>
      <c r="E15" s="518"/>
      <c r="F15" s="533"/>
      <c r="G15" s="138"/>
      <c r="H15" s="251"/>
      <c r="I15" s="515" t="s">
        <v>516</v>
      </c>
      <c r="J15" s="516"/>
      <c r="K15" s="516"/>
      <c r="L15" s="517"/>
      <c r="M15" s="223"/>
    </row>
    <row r="16" spans="2:15" ht="49.5" customHeight="1" thickBot="1" x14ac:dyDescent="0.3">
      <c r="B16" s="220"/>
      <c r="C16" s="510" t="s">
        <v>521</v>
      </c>
      <c r="D16" s="518"/>
      <c r="E16" s="531"/>
      <c r="F16" s="532"/>
      <c r="G16" s="139"/>
      <c r="H16" s="252"/>
      <c r="I16" s="506" t="s">
        <v>522</v>
      </c>
      <c r="J16" s="506"/>
      <c r="K16" s="504" t="s">
        <v>205</v>
      </c>
      <c r="L16" s="505"/>
      <c r="M16" s="222"/>
    </row>
    <row r="17" spans="2:13" ht="40.5" customHeight="1" x14ac:dyDescent="0.25">
      <c r="B17" s="220"/>
      <c r="C17" s="510" t="s">
        <v>365</v>
      </c>
      <c r="D17" s="518"/>
      <c r="E17" s="513"/>
      <c r="F17" s="514"/>
      <c r="G17" s="248"/>
      <c r="H17" s="252"/>
      <c r="I17" s="518" t="s">
        <v>365</v>
      </c>
      <c r="J17" s="518"/>
      <c r="K17" s="513" t="s">
        <v>543</v>
      </c>
      <c r="L17" s="514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27" t="s">
        <v>513</v>
      </c>
      <c r="D20" s="522"/>
      <c r="E20" s="522"/>
      <c r="F20" s="528"/>
      <c r="G20" s="19"/>
      <c r="H20" s="251"/>
      <c r="I20" s="522" t="s">
        <v>517</v>
      </c>
      <c r="J20" s="522"/>
      <c r="K20" s="522"/>
      <c r="L20" s="522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29" t="s">
        <v>514</v>
      </c>
      <c r="D22" s="523"/>
      <c r="E22" s="523"/>
      <c r="F22" s="530"/>
      <c r="G22" s="249"/>
      <c r="H22" s="251"/>
      <c r="I22" s="523" t="s">
        <v>518</v>
      </c>
      <c r="J22" s="523"/>
      <c r="K22" s="523"/>
      <c r="L22" s="523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ht="84.75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 t="s">
        <v>544</v>
      </c>
      <c r="K24" s="8" t="s">
        <v>545</v>
      </c>
      <c r="L24" s="256">
        <v>14</v>
      </c>
      <c r="M24" s="227"/>
    </row>
    <row r="25" spans="2:13" ht="48.75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 t="s">
        <v>546</v>
      </c>
      <c r="K25" s="8" t="s">
        <v>547</v>
      </c>
      <c r="L25" s="256">
        <v>5</v>
      </c>
      <c r="M25" s="227"/>
    </row>
    <row r="26" spans="2:13" ht="84.75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 t="s">
        <v>544</v>
      </c>
      <c r="K26" s="8" t="s">
        <v>548</v>
      </c>
      <c r="L26" s="256">
        <v>14</v>
      </c>
      <c r="M26" s="227"/>
    </row>
    <row r="27" spans="2:13" ht="84.75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 t="s">
        <v>544</v>
      </c>
      <c r="K27" s="8" t="s">
        <v>549</v>
      </c>
      <c r="L27" s="256">
        <v>8</v>
      </c>
      <c r="M27" s="227"/>
    </row>
    <row r="28" spans="2:13" ht="84.75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 t="s">
        <v>544</v>
      </c>
      <c r="K28" s="8" t="s">
        <v>550</v>
      </c>
      <c r="L28" s="256">
        <v>13</v>
      </c>
      <c r="M28" s="227"/>
    </row>
    <row r="29" spans="2:13" ht="36.75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 t="s">
        <v>544</v>
      </c>
      <c r="K29" s="8" t="s">
        <v>551</v>
      </c>
      <c r="L29" s="256">
        <v>0.4</v>
      </c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34" t="s">
        <v>225</v>
      </c>
      <c r="D85" s="534"/>
      <c r="E85" s="534"/>
      <c r="F85" s="534"/>
      <c r="G85" s="534"/>
      <c r="H85" s="534"/>
      <c r="I85" s="534"/>
      <c r="J85" s="534"/>
      <c r="K85" s="534"/>
      <c r="L85" s="534"/>
      <c r="M85" s="228"/>
    </row>
    <row r="86" spans="2:13" ht="66" customHeight="1" x14ac:dyDescent="0.25">
      <c r="B86" s="220"/>
      <c r="C86" s="526" t="s">
        <v>370</v>
      </c>
      <c r="D86" s="516"/>
      <c r="E86" s="516"/>
      <c r="F86" s="535"/>
      <c r="G86" s="535"/>
      <c r="H86" s="535"/>
      <c r="I86" s="535"/>
      <c r="J86" s="535"/>
      <c r="K86" s="535"/>
      <c r="L86" s="535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24" t="s">
        <v>232</v>
      </c>
      <c r="D88" s="525"/>
      <c r="E88" s="525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26" t="s">
        <v>234</v>
      </c>
      <c r="D89" s="516"/>
      <c r="E89" s="516"/>
      <c r="F89" s="536">
        <v>45412</v>
      </c>
      <c r="G89" s="537"/>
      <c r="H89" s="537"/>
      <c r="I89" s="537"/>
      <c r="J89" s="537"/>
      <c r="K89" s="537"/>
      <c r="L89" s="537"/>
      <c r="M89" s="229"/>
    </row>
    <row r="90" spans="2:13" ht="15.75" customHeight="1" x14ac:dyDescent="0.25">
      <c r="B90" s="220"/>
      <c r="C90" s="526" t="s">
        <v>236</v>
      </c>
      <c r="D90" s="516"/>
      <c r="E90" s="516"/>
      <c r="F90" s="537" t="s">
        <v>552</v>
      </c>
      <c r="G90" s="537"/>
      <c r="H90" s="537"/>
      <c r="I90" s="537"/>
      <c r="J90" s="537"/>
      <c r="K90" s="537"/>
      <c r="L90" s="537"/>
      <c r="M90" s="229"/>
    </row>
    <row r="91" spans="2:13" ht="15.75" customHeight="1" x14ac:dyDescent="0.25">
      <c r="B91" s="220"/>
      <c r="C91" s="526" t="s">
        <v>238</v>
      </c>
      <c r="D91" s="516"/>
      <c r="E91" s="516"/>
      <c r="F91" s="537" t="s">
        <v>554</v>
      </c>
      <c r="G91" s="537"/>
      <c r="H91" s="537"/>
      <c r="I91" s="537"/>
      <c r="J91" s="537"/>
      <c r="K91" s="537"/>
      <c r="L91" s="537"/>
      <c r="M91" s="229"/>
    </row>
    <row r="92" spans="2:13" ht="21" customHeight="1" x14ac:dyDescent="0.25">
      <c r="B92" s="220"/>
      <c r="C92" s="519" t="s">
        <v>240</v>
      </c>
      <c r="D92" s="506"/>
      <c r="E92" s="506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0"/>
      <c r="D93" s="521"/>
      <c r="E93" s="521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0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zoomScale="80" zoomScaleNormal="80" workbookViewId="0">
      <selection activeCell="L7" sqref="L7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57" t="str">
        <f>'Finansiniai duomenys'!C8</f>
        <v>UAB „Druskininkų sveikatinimo ir poilsio centras AQUA“</v>
      </c>
      <c r="I3" s="557"/>
      <c r="J3" s="557"/>
      <c r="K3" s="557"/>
      <c r="L3" s="557"/>
      <c r="N3" s="538" t="s">
        <v>361</v>
      </c>
      <c r="O3" s="538"/>
      <c r="P3" s="538"/>
      <c r="T3" s="12"/>
      <c r="U3" t="s">
        <v>208</v>
      </c>
    </row>
    <row r="4" spans="1:21" ht="13.9" customHeight="1" x14ac:dyDescent="0.25">
      <c r="A4" s="12"/>
      <c r="C4" s="559" t="s">
        <v>439</v>
      </c>
      <c r="D4" s="560"/>
      <c r="E4" s="560"/>
      <c r="F4" s="371"/>
      <c r="G4" s="350" t="s">
        <v>380</v>
      </c>
      <c r="H4" s="557" t="str">
        <f>IFERROR(VLOOKUP(H3,'Finansiniai duomenys'!R2:T229,3,FALSE),"")</f>
        <v>Uždaroji akcinė bendrovė (UAB)</v>
      </c>
      <c r="I4" s="557"/>
      <c r="J4" s="557"/>
      <c r="K4" s="557"/>
      <c r="L4" s="557"/>
      <c r="N4" s="538"/>
      <c r="O4" s="538"/>
      <c r="P4" s="538"/>
      <c r="T4" s="12"/>
    </row>
    <row r="5" spans="1:21" x14ac:dyDescent="0.25">
      <c r="A5" s="12"/>
      <c r="C5" s="559"/>
      <c r="D5" s="560"/>
      <c r="E5" s="560"/>
      <c r="F5" s="371"/>
      <c r="G5" s="351" t="s">
        <v>13</v>
      </c>
      <c r="H5" s="554">
        <f>IFERROR(VLOOKUP(H3,'Finansiniai duomenys'!R2:T229,2,FALSE),"")</f>
        <v>300076944</v>
      </c>
      <c r="I5" s="554"/>
      <c r="J5" s="554"/>
      <c r="K5" s="554"/>
      <c r="L5" s="554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61" t="s">
        <v>507</v>
      </c>
      <c r="D7" s="562"/>
      <c r="E7" s="562"/>
      <c r="F7" s="123"/>
      <c r="G7" s="558" t="s">
        <v>426</v>
      </c>
      <c r="H7" s="558"/>
      <c r="I7" s="558"/>
      <c r="J7" s="558"/>
      <c r="K7" s="558"/>
      <c r="L7" s="291"/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62"/>
      <c r="D8" s="562"/>
      <c r="E8" s="562"/>
      <c r="F8" s="123"/>
      <c r="G8" s="558" t="s">
        <v>427</v>
      </c>
      <c r="H8" s="558"/>
      <c r="I8" s="558"/>
      <c r="J8" s="558"/>
      <c r="K8" s="558"/>
      <c r="L8" s="291"/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62"/>
      <c r="D9" s="562"/>
      <c r="E9" s="562"/>
      <c r="F9" s="123"/>
      <c r="G9" s="354" t="s">
        <v>531</v>
      </c>
      <c r="H9" s="354"/>
      <c r="I9" s="354"/>
      <c r="J9" s="354"/>
      <c r="K9" s="354"/>
      <c r="L9" s="291"/>
      <c r="M9" s="554"/>
      <c r="N9" s="554"/>
      <c r="O9" s="554"/>
      <c r="P9" s="554"/>
      <c r="Q9" s="554"/>
      <c r="R9" s="123"/>
      <c r="T9" s="12"/>
      <c r="U9"/>
    </row>
    <row r="10" spans="1:21" s="292" customFormat="1" ht="46.9" customHeight="1" x14ac:dyDescent="0.25">
      <c r="A10" s="12"/>
      <c r="B10" s="83"/>
      <c r="C10" s="562"/>
      <c r="D10" s="562"/>
      <c r="E10" s="562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5" t="s">
        <v>519</v>
      </c>
      <c r="D12" s="556"/>
      <c r="E12" s="556"/>
      <c r="F12" s="556"/>
      <c r="G12" s="553" t="s">
        <v>432</v>
      </c>
      <c r="H12" s="553"/>
      <c r="I12" s="553" t="s">
        <v>432</v>
      </c>
      <c r="J12" s="553"/>
      <c r="K12" s="553" t="s">
        <v>432</v>
      </c>
      <c r="L12" s="553"/>
      <c r="M12" s="553" t="s">
        <v>432</v>
      </c>
      <c r="N12" s="553"/>
      <c r="O12" s="553" t="s">
        <v>432</v>
      </c>
      <c r="P12" s="553"/>
      <c r="Q12" s="553" t="s">
        <v>432</v>
      </c>
      <c r="R12" s="553"/>
      <c r="T12" s="12"/>
    </row>
    <row r="13" spans="1:21" ht="67.900000000000006" customHeight="1" x14ac:dyDescent="0.25">
      <c r="A13" s="12"/>
      <c r="C13" s="547" t="s">
        <v>387</v>
      </c>
      <c r="D13" s="548" t="s">
        <v>388</v>
      </c>
      <c r="E13" s="551" t="s">
        <v>437</v>
      </c>
      <c r="F13" s="548" t="s">
        <v>389</v>
      </c>
      <c r="G13" s="549"/>
      <c r="H13" s="550"/>
      <c r="I13" s="549"/>
      <c r="J13" s="550"/>
      <c r="K13" s="549"/>
      <c r="L13" s="550"/>
      <c r="M13" s="549"/>
      <c r="N13" s="550"/>
      <c r="O13" s="549"/>
      <c r="P13" s="550"/>
      <c r="Q13" s="549"/>
      <c r="R13" s="550"/>
      <c r="T13" s="12"/>
    </row>
    <row r="14" spans="1:21" ht="39" customHeight="1" x14ac:dyDescent="0.25">
      <c r="A14" s="12"/>
      <c r="C14" s="547"/>
      <c r="D14" s="548"/>
      <c r="E14" s="552"/>
      <c r="F14" s="548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0</v>
      </c>
      <c r="E15" s="298" t="str">
        <f>IF(OR(D15-'Finansiniai duomenys'!C35&lt;-0.1,D15-'Finansiniai duomenys'!C35&gt;0.1),"Klaida","Gerai")</f>
        <v>Klaida</v>
      </c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0</v>
      </c>
      <c r="E16" s="298" t="str">
        <f>IF(OR(D16-'Finansiniai duomenys'!C36&lt;-0.1,D16-'Finansiniai duomenys'!C36&gt;0.1),"Klaida","Gerai")</f>
        <v>Klaida</v>
      </c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0</v>
      </c>
      <c r="E17" s="298" t="str">
        <f>IF(OR(D17-'Finansiniai duomenys'!C37&lt;-0.1,D17-'Finansiniai duomenys'!C37&gt;0.1),"Klaida","Gerai")</f>
        <v>Klaida</v>
      </c>
      <c r="F17" s="361">
        <f>F15-F16</f>
        <v>0</v>
      </c>
      <c r="G17" s="361">
        <f t="shared" ref="G17:R17" si="1">G15-G16</f>
        <v>0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</v>
      </c>
      <c r="E18" s="298" t="str">
        <f>IF(OR(D18-'Finansiniai duomenys'!C38&lt;-0.1,D18-'Finansiniai duomenys'!C38&gt;0.1),"Klaida","Gerai")</f>
        <v>Klaida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0</v>
      </c>
      <c r="E19" s="298" t="str">
        <f>IF(OR(D19-'Finansiniai duomenys'!C39&lt;-0.1,D19-'Finansiniai duomenys'!C39&gt;0.1),"Klaida","Gerai")</f>
        <v>Klaida</v>
      </c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0</v>
      </c>
      <c r="E20" s="298" t="str">
        <f>IF(OR(D20-'Finansiniai duomenys'!C40&lt;-0.1,D20-'Finansiniai duomenys'!C40&gt;0.1),"Klaida","Gerai")</f>
        <v>Klaida</v>
      </c>
      <c r="F20" s="361">
        <f>F17-F18-F19</f>
        <v>0</v>
      </c>
      <c r="G20" s="361">
        <f t="shared" ref="G20:R20" si="2">G17-G18-G19</f>
        <v>0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0</v>
      </c>
      <c r="E22" s="298" t="str">
        <f>IF(OR(D22-'Finansiniai duomenys'!C46&lt;-0.1,D22-'Finansiniai duomenys'!C46&gt;0.1),"Klaida","Gerai")</f>
        <v>Klaida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0</v>
      </c>
      <c r="E23" s="298" t="str">
        <f>IF(OR(D23-'Finansiniai duomenys'!C48&lt;-0.1,D23-'Finansiniai duomenys'!C48&gt;0.1),"Klaida","Gerai")</f>
        <v>Klaida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0</v>
      </c>
      <c r="E24" s="298" t="str">
        <f>IF(OR(D24-'Finansiniai duomenys'!C107&lt;-0.1,D24-'Finansiniai duomenys'!C107&gt;0.1),"Klaida","Gerai")</f>
        <v>Klaida</v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55" t="s">
        <v>520</v>
      </c>
      <c r="D28" s="556"/>
      <c r="E28" s="556"/>
      <c r="F28" s="556"/>
      <c r="G28" s="553" t="s">
        <v>432</v>
      </c>
      <c r="H28" s="553"/>
      <c r="I28" s="553" t="s">
        <v>432</v>
      </c>
      <c r="J28" s="553"/>
      <c r="K28" s="553" t="s">
        <v>432</v>
      </c>
      <c r="L28" s="553"/>
      <c r="M28" s="553" t="s">
        <v>432</v>
      </c>
      <c r="N28" s="553"/>
      <c r="O28" s="553" t="s">
        <v>432</v>
      </c>
      <c r="P28" s="553"/>
      <c r="Q28" s="553" t="s">
        <v>432</v>
      </c>
      <c r="R28" s="553"/>
      <c r="T28" s="12"/>
    </row>
    <row r="29" spans="1:20" ht="62.45" customHeight="1" x14ac:dyDescent="0.25">
      <c r="A29" s="12"/>
      <c r="C29" s="547" t="s">
        <v>387</v>
      </c>
      <c r="D29" s="548" t="s">
        <v>388</v>
      </c>
      <c r="E29" s="551" t="s">
        <v>438</v>
      </c>
      <c r="F29" s="548" t="s">
        <v>389</v>
      </c>
      <c r="G29" s="549"/>
      <c r="H29" s="550"/>
      <c r="I29" s="549"/>
      <c r="J29" s="550"/>
      <c r="K29" s="549"/>
      <c r="L29" s="550"/>
      <c r="M29" s="549"/>
      <c r="N29" s="550"/>
      <c r="O29" s="549"/>
      <c r="P29" s="550"/>
      <c r="Q29" s="549"/>
      <c r="R29" s="550"/>
      <c r="T29" s="12"/>
    </row>
    <row r="30" spans="1:20" ht="52.15" customHeight="1" x14ac:dyDescent="0.25">
      <c r="A30" s="12"/>
      <c r="C30" s="547"/>
      <c r="D30" s="548"/>
      <c r="E30" s="552"/>
      <c r="F30" s="548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0</v>
      </c>
      <c r="E31" s="298" t="str">
        <f>IF(OR(D31-'Finansiniai duomenys'!E35&lt;-0.1,D31-'Finansiniai duomenys'!E35&gt;0.1),"Klaida","Gerai")</f>
        <v>Klaida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0</v>
      </c>
      <c r="E32" s="298" t="str">
        <f>IF(OR(D32-'Finansiniai duomenys'!E36&lt;-0.1,D32-'Finansiniai duomenys'!E36&gt;0.1),"Klaida","Gerai")</f>
        <v>Klaida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0</v>
      </c>
      <c r="E33" s="298" t="str">
        <f>IF(OR(D33-'Finansiniai duomenys'!E37&lt;-0.1,D33-'Finansiniai duomenys'!E37&gt;0.1),"Klaida","Gerai")</f>
        <v>Klaida</v>
      </c>
      <c r="F33" s="361">
        <f>F31-F32</f>
        <v>0</v>
      </c>
      <c r="G33" s="361">
        <f t="shared" ref="G33" si="3">G31-G32</f>
        <v>0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</v>
      </c>
      <c r="E34" s="298" t="str">
        <f>IF(OR(D34-'Finansiniai duomenys'!E38&lt;-0.1,D34-'Finansiniai duomenys'!E38&gt;0.1),"Klaida","Gerai")</f>
        <v>Klaida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0</v>
      </c>
      <c r="E35" s="298" t="str">
        <f>IF(OR(D35-'Finansiniai duomenys'!E39&lt;-0.1,D35-'Finansiniai duomenys'!E39&gt;0.1),"Klaida","Gerai")</f>
        <v>Klaida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0</v>
      </c>
      <c r="E36" s="298" t="str">
        <f>IF(OR(D36-'Finansiniai duomenys'!E40&lt;-0.1,D36-'Finansiniai duomenys'!E40&gt;0.1),"Klaida","Gerai")</f>
        <v>Klaida</v>
      </c>
      <c r="F36" s="361">
        <f>F33-F34-F35</f>
        <v>0</v>
      </c>
      <c r="G36" s="361">
        <f t="shared" ref="G36" si="16">G33-G34-G35</f>
        <v>0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0</v>
      </c>
      <c r="E38" s="298" t="str">
        <f>IF(OR(D38-'Finansiniai duomenys'!E46&lt;-0.1,D38-'Finansiniai duomenys'!E46&gt;0.1),"Klaida","Gerai")</f>
        <v>Klaida</v>
      </c>
      <c r="F38" s="299"/>
      <c r="G38" s="299"/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0</v>
      </c>
      <c r="E39" s="298" t="str">
        <f>IF(OR(D39-'Finansiniai duomenys'!E48&lt;-0.1,D39-'Finansiniai duomenys'!E48&gt;0.1),"Klaida","Gerai")</f>
        <v>Klaida</v>
      </c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0</v>
      </c>
      <c r="E40" s="298" t="str">
        <f>IF(OR(D40-'Finansiniai duomenys'!E107&lt;-0.1,D40-'Finansiniai duomenys'!E107&gt;0.1),"Klaida","Gerai")</f>
        <v>Klaida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5" t="s">
        <v>519</v>
      </c>
      <c r="D44" s="556"/>
      <c r="E44" s="556"/>
      <c r="F44" s="556"/>
      <c r="G44" s="553" t="s">
        <v>432</v>
      </c>
      <c r="H44" s="553"/>
      <c r="I44" s="553" t="s">
        <v>432</v>
      </c>
      <c r="J44" s="553"/>
      <c r="K44" s="553" t="s">
        <v>432</v>
      </c>
      <c r="L44" s="553"/>
      <c r="M44" s="553" t="s">
        <v>432</v>
      </c>
      <c r="N44" s="553"/>
      <c r="O44" s="553" t="s">
        <v>432</v>
      </c>
      <c r="P44" s="553"/>
      <c r="Q44" s="553" t="s">
        <v>432</v>
      </c>
      <c r="R44" s="553"/>
      <c r="T44" s="12"/>
    </row>
    <row r="45" spans="1:20" ht="62.45" customHeight="1" x14ac:dyDescent="0.25">
      <c r="A45" s="12"/>
      <c r="C45" s="547" t="s">
        <v>387</v>
      </c>
      <c r="D45" s="548" t="s">
        <v>388</v>
      </c>
      <c r="E45" s="551" t="s">
        <v>437</v>
      </c>
      <c r="F45" s="548" t="s">
        <v>389</v>
      </c>
      <c r="G45" s="549"/>
      <c r="H45" s="550"/>
      <c r="I45" s="549"/>
      <c r="J45" s="550"/>
      <c r="K45" s="549"/>
      <c r="L45" s="550"/>
      <c r="M45" s="549"/>
      <c r="N45" s="550"/>
      <c r="O45" s="549"/>
      <c r="P45" s="550"/>
      <c r="Q45" s="549"/>
      <c r="R45" s="550"/>
      <c r="T45" s="12"/>
    </row>
    <row r="46" spans="1:20" ht="59.45" customHeight="1" x14ac:dyDescent="0.25">
      <c r="A46" s="12"/>
      <c r="C46" s="547"/>
      <c r="D46" s="548"/>
      <c r="E46" s="552"/>
      <c r="F46" s="548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0</v>
      </c>
      <c r="E47" s="298" t="str">
        <f>IF(OR(D47-'Finansiniai duomenys'!C69&lt;-0.1,D47-'Finansiniai duomenys'!C69&gt;0.1),"Klaida","Gerai")</f>
        <v>Klaida</v>
      </c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0</v>
      </c>
      <c r="E48" s="298" t="str">
        <f>IF(OR(D48-'Finansiniai duomenys'!C80&lt;-0.1,D48-'Finansiniai duomenys'!C80&gt;0.1),"Klaida","Gerai")</f>
        <v>Klaida</v>
      </c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Klaida</v>
      </c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0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Klaida</v>
      </c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0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Klaida</v>
      </c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0</v>
      </c>
      <c r="E52" s="298" t="str">
        <f>IF(OR(D52-'Finansiniai duomenys'!C99&lt;-0.1,D52-'Finansiniai duomenys'!C99&gt;0.1),"Klaida","Gerai")</f>
        <v>Klaida</v>
      </c>
      <c r="F52" s="361">
        <f>F48+F49+F50</f>
        <v>0</v>
      </c>
      <c r="G52" s="361">
        <f t="shared" ref="G52:R52" si="29">G48+G49+G50</f>
        <v>0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5" t="s">
        <v>520</v>
      </c>
      <c r="D56" s="556"/>
      <c r="E56" s="556"/>
      <c r="F56" s="556"/>
      <c r="G56" s="553" t="s">
        <v>432</v>
      </c>
      <c r="H56" s="553"/>
      <c r="I56" s="553" t="s">
        <v>432</v>
      </c>
      <c r="J56" s="553"/>
      <c r="K56" s="553" t="s">
        <v>432</v>
      </c>
      <c r="L56" s="553"/>
      <c r="M56" s="553" t="s">
        <v>432</v>
      </c>
      <c r="N56" s="553"/>
      <c r="O56" s="553" t="s">
        <v>432</v>
      </c>
      <c r="P56" s="553"/>
      <c r="Q56" s="553" t="s">
        <v>432</v>
      </c>
      <c r="R56" s="553"/>
      <c r="T56" s="12"/>
    </row>
    <row r="57" spans="1:20" ht="70.150000000000006" customHeight="1" x14ac:dyDescent="0.25">
      <c r="A57" s="12"/>
      <c r="C57" s="547" t="s">
        <v>387</v>
      </c>
      <c r="D57" s="548" t="s">
        <v>388</v>
      </c>
      <c r="E57" s="551" t="s">
        <v>436</v>
      </c>
      <c r="F57" s="548" t="s">
        <v>389</v>
      </c>
      <c r="G57" s="549"/>
      <c r="H57" s="550"/>
      <c r="I57" s="549"/>
      <c r="J57" s="550"/>
      <c r="K57" s="549"/>
      <c r="L57" s="550"/>
      <c r="M57" s="549"/>
      <c r="N57" s="550"/>
      <c r="O57" s="549"/>
      <c r="P57" s="550"/>
      <c r="Q57" s="549"/>
      <c r="R57" s="550"/>
      <c r="T57" s="12"/>
    </row>
    <row r="58" spans="1:20" ht="55.9" customHeight="1" x14ac:dyDescent="0.25">
      <c r="A58" s="12"/>
      <c r="C58" s="547"/>
      <c r="D58" s="548"/>
      <c r="E58" s="552"/>
      <c r="F58" s="548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0</v>
      </c>
      <c r="E59" s="298" t="str">
        <f>IF(OR(D59-'Finansiniai duomenys'!E69&lt;-0.1,D59-'Finansiniai duomenys'!E69&gt;0.1),"Klaida","Gerai")</f>
        <v>Klaida</v>
      </c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0</v>
      </c>
      <c r="E60" s="298" t="str">
        <f>IF(OR(D60-'Finansiniai duomenys'!E80&lt;-0.1,D60-'Finansiniai duomenys'!E80&gt;0.1),"Klaida","Gerai")</f>
        <v>Klaida</v>
      </c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0</v>
      </c>
      <c r="E61" s="298" t="str">
        <f>IF(OR(D61-'Finansiniai duomenys'!E82&lt;-0.1,D61-'Finansiniai duomenys'!E82&gt;0.1),"Klaida","Gerai")</f>
        <v>Klaida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0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Klaida</v>
      </c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0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Klaida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0</v>
      </c>
      <c r="E64" s="298" t="str">
        <f>IF(OR(D64-'Finansiniai duomenys'!E99&lt;-0.1,D64-'Finansiniai duomenys'!E99&gt;0.1),"Klaida","Gerai")</f>
        <v>Klaida</v>
      </c>
      <c r="F64" s="361">
        <f>F60+F61+F62</f>
        <v>0</v>
      </c>
      <c r="G64" s="361">
        <f t="shared" ref="G64:R64" si="32">G60+G61+G62</f>
        <v>0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65"/>
      <c r="I70" s="565"/>
      <c r="J70" s="566"/>
      <c r="T70" s="12"/>
    </row>
    <row r="71" spans="1:21" ht="51" customHeight="1" x14ac:dyDescent="0.25">
      <c r="A71" s="12"/>
      <c r="E71" s="368"/>
      <c r="H71" s="491"/>
      <c r="I71" s="491"/>
      <c r="J71" s="567"/>
      <c r="T71" s="12"/>
    </row>
    <row r="72" spans="1:21" x14ac:dyDescent="0.25">
      <c r="A72" s="12"/>
      <c r="E72" s="380" t="s">
        <v>232</v>
      </c>
      <c r="H72" s="568"/>
      <c r="I72" s="568"/>
      <c r="J72" s="569"/>
      <c r="T72" s="12"/>
    </row>
    <row r="73" spans="1:21" x14ac:dyDescent="0.25">
      <c r="A73" s="12"/>
      <c r="E73" s="368" t="s">
        <v>234</v>
      </c>
      <c r="H73" s="570"/>
      <c r="I73" s="570"/>
      <c r="J73" s="571"/>
      <c r="T73" s="12"/>
    </row>
    <row r="74" spans="1:21" x14ac:dyDescent="0.25">
      <c r="A74" s="12"/>
      <c r="E74" s="368" t="s">
        <v>236</v>
      </c>
      <c r="H74" s="570"/>
      <c r="I74" s="570"/>
      <c r="J74" s="571"/>
      <c r="T74" s="12"/>
    </row>
    <row r="75" spans="1:21" x14ac:dyDescent="0.25">
      <c r="A75" s="12"/>
      <c r="E75" s="368" t="s">
        <v>238</v>
      </c>
      <c r="H75" s="570"/>
      <c r="I75" s="570"/>
      <c r="J75" s="571"/>
      <c r="T75" s="12"/>
    </row>
    <row r="76" spans="1:21" x14ac:dyDescent="0.25">
      <c r="A76" s="12"/>
      <c r="E76" s="369" t="s">
        <v>382</v>
      </c>
      <c r="F76" s="370"/>
      <c r="G76" s="370"/>
      <c r="H76" s="563"/>
      <c r="I76" s="563"/>
      <c r="J76" s="564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opLeftCell="A41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2" t="s">
        <v>361</v>
      </c>
      <c r="E2" s="573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62" t="s">
        <v>372</v>
      </c>
      <c r="C4" s="463"/>
      <c r="D4" s="463"/>
      <c r="E4" s="464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65"/>
      <c r="D6" s="465"/>
      <c r="E6" s="466"/>
      <c r="M6" s="40"/>
      <c r="N6" s="40"/>
    </row>
    <row r="7" spans="2:15" x14ac:dyDescent="0.2">
      <c r="B7" s="147" t="s">
        <v>9</v>
      </c>
      <c r="C7" s="453" t="str">
        <f>IFERROR(VLOOKUP(C6,$K$2:$M$5,3,FALSE),"")</f>
        <v/>
      </c>
      <c r="D7" s="453"/>
      <c r="E7" s="454"/>
      <c r="M7" s="40"/>
      <c r="N7" s="40"/>
      <c r="O7" s="40"/>
    </row>
    <row r="8" spans="2:15" x14ac:dyDescent="0.2">
      <c r="B8" s="148" t="s">
        <v>13</v>
      </c>
      <c r="C8" s="453" t="str">
        <f>IFERROR(VLOOKUP(C6,$K$2:$L$5,2,FALSE),"")</f>
        <v/>
      </c>
      <c r="D8" s="453"/>
      <c r="E8" s="454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55"/>
      <c r="D10" s="455"/>
      <c r="E10" s="456"/>
    </row>
    <row r="11" spans="2:15" ht="12" customHeight="1" x14ac:dyDescent="0.2">
      <c r="B11" s="148" t="s">
        <v>29</v>
      </c>
      <c r="C11" s="457"/>
      <c r="D11" s="457"/>
      <c r="E11" s="458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59" t="s">
        <v>36</v>
      </c>
      <c r="D13" s="460"/>
      <c r="E13" s="461"/>
    </row>
    <row r="14" spans="2:15" ht="12" customHeight="1" x14ac:dyDescent="0.2">
      <c r="B14" s="148" t="s">
        <v>40</v>
      </c>
      <c r="C14" s="471" t="s">
        <v>343</v>
      </c>
      <c r="D14" s="471"/>
      <c r="E14" s="150" t="s">
        <v>41</v>
      </c>
    </row>
    <row r="15" spans="2:15" ht="12" customHeight="1" x14ac:dyDescent="0.2">
      <c r="B15" s="151" t="s">
        <v>45</v>
      </c>
      <c r="C15" s="472"/>
      <c r="D15" s="577"/>
      <c r="E15" s="152"/>
      <c r="M15" s="40"/>
      <c r="N15" s="40"/>
    </row>
    <row r="16" spans="2:15" ht="12" customHeight="1" x14ac:dyDescent="0.2">
      <c r="B16" s="151" t="s">
        <v>49</v>
      </c>
      <c r="C16" s="472"/>
      <c r="D16" s="577"/>
      <c r="E16" s="152"/>
      <c r="O16" s="40"/>
    </row>
    <row r="17" spans="2:15" ht="12" customHeight="1" x14ac:dyDescent="0.2">
      <c r="B17" s="151" t="s">
        <v>53</v>
      </c>
      <c r="C17" s="472"/>
      <c r="D17" s="577"/>
      <c r="E17" s="152"/>
      <c r="M17" s="40"/>
      <c r="N17" s="40"/>
    </row>
    <row r="18" spans="2:15" ht="12" customHeight="1" x14ac:dyDescent="0.2">
      <c r="B18" s="151" t="s">
        <v>56</v>
      </c>
      <c r="C18" s="472"/>
      <c r="D18" s="577"/>
      <c r="E18" s="152"/>
      <c r="M18" s="40"/>
      <c r="N18" s="40"/>
      <c r="O18" s="40"/>
    </row>
    <row r="19" spans="2:15" ht="12" customHeight="1" x14ac:dyDescent="0.2">
      <c r="B19" s="151" t="s">
        <v>59</v>
      </c>
      <c r="C19" s="472"/>
      <c r="D19" s="577"/>
      <c r="E19" s="152"/>
      <c r="M19" s="40"/>
      <c r="N19" s="40"/>
      <c r="O19" s="40"/>
    </row>
    <row r="20" spans="2:15" ht="12" customHeight="1" x14ac:dyDescent="0.2">
      <c r="B20" s="151" t="s">
        <v>67</v>
      </c>
      <c r="C20" s="425" t="s">
        <v>68</v>
      </c>
      <c r="D20" s="426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8" t="str">
        <f>IFERROR(VLOOKUP(C6,$K$2:$O$5,4,FALSE),"")</f>
        <v/>
      </c>
      <c r="D22" s="578"/>
      <c r="E22" s="579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3" t="s">
        <v>79</v>
      </c>
      <c r="D24" s="443"/>
      <c r="E24" s="444"/>
      <c r="O24" s="40"/>
    </row>
    <row r="25" spans="2:15" x14ac:dyDescent="0.2">
      <c r="B25" s="159"/>
      <c r="C25" s="435"/>
      <c r="D25" s="435"/>
      <c r="E25" s="436"/>
      <c r="M25" s="40"/>
      <c r="N25" s="40"/>
      <c r="O25" s="40"/>
    </row>
    <row r="26" spans="2:15" x14ac:dyDescent="0.2">
      <c r="B26" s="159"/>
      <c r="C26" s="437" t="s">
        <v>85</v>
      </c>
      <c r="D26" s="437"/>
      <c r="E26" s="438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3" t="s">
        <v>374</v>
      </c>
      <c r="D42" s="443"/>
      <c r="E42" s="444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4" t="s">
        <v>374</v>
      </c>
      <c r="D90" s="574"/>
      <c r="E90" s="575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43" t="s">
        <v>374</v>
      </c>
      <c r="D106" s="443"/>
      <c r="E106" s="444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33"/>
      <c r="D108" s="433"/>
      <c r="E108" s="434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6"/>
      <c r="D113" s="455"/>
      <c r="E113" s="456"/>
    </row>
    <row r="114" spans="2:5" x14ac:dyDescent="0.2">
      <c r="B114" s="159" t="s">
        <v>236</v>
      </c>
      <c r="C114" s="441"/>
      <c r="D114" s="441"/>
      <c r="E114" s="442"/>
    </row>
    <row r="115" spans="2:5" ht="24" x14ac:dyDescent="0.2">
      <c r="B115" s="207" t="s">
        <v>238</v>
      </c>
      <c r="C115" s="429"/>
      <c r="D115" s="429"/>
      <c r="E115" s="430"/>
    </row>
    <row r="116" spans="2:5" ht="24" x14ac:dyDescent="0.2">
      <c r="B116" s="208" t="s">
        <v>240</v>
      </c>
      <c r="C116" s="431"/>
      <c r="D116" s="431"/>
      <c r="E116" s="432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Zydrunas Naujalis</cp:lastModifiedBy>
  <cp:revision/>
  <cp:lastPrinted>2024-04-30T09:56:21Z</cp:lastPrinted>
  <dcterms:created xsi:type="dcterms:W3CDTF">2014-03-24T16:58:47Z</dcterms:created>
  <dcterms:modified xsi:type="dcterms:W3CDTF">2024-09-18T08:09:29Z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